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grams\REPAIR (DE-FOA-0002289)\1. Program Development\FOA\"/>
    </mc:Choice>
  </mc:AlternateContent>
  <bookViews>
    <workbookView xWindow="0" yWindow="390" windowWidth="23040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9" i="1" l="1"/>
  <c r="C31" i="1" s="1"/>
  <c r="E23" i="1"/>
  <c r="D23" i="1"/>
  <c r="C23" i="1"/>
  <c r="E21" i="1"/>
  <c r="D21" i="1"/>
  <c r="C21" i="1"/>
  <c r="E16" i="1"/>
  <c r="D16" i="1"/>
  <c r="C16" i="1"/>
  <c r="D29" i="1" l="1"/>
  <c r="D31" i="1" s="1"/>
  <c r="D37" i="1" s="1"/>
  <c r="D38" i="1" s="1"/>
  <c r="C37" i="1"/>
  <c r="C38" i="1" s="1"/>
  <c r="E29" i="1"/>
  <c r="E31" i="1" s="1"/>
  <c r="E37" i="1" s="1"/>
  <c r="E38" i="1" s="1"/>
  <c r="C3" i="1" l="1"/>
  <c r="C4" i="1" s="1"/>
</calcChain>
</file>

<file path=xl/sharedStrings.xml><?xml version="1.0" encoding="utf-8"?>
<sst xmlns="http://schemas.openxmlformats.org/spreadsheetml/2006/main" count="84" uniqueCount="74">
  <si>
    <t>Summary</t>
  </si>
  <si>
    <t xml:space="preserve">Total cost </t>
  </si>
  <si>
    <t>($/km)</t>
  </si>
  <si>
    <t>($/mile)</t>
  </si>
  <si>
    <t>Coating Material Costs</t>
  </si>
  <si>
    <t xml:space="preserve">Material Cost </t>
  </si>
  <si>
    <t>($/kg)</t>
  </si>
  <si>
    <t>Pipe inner diameter</t>
  </si>
  <si>
    <t>(in)</t>
  </si>
  <si>
    <t>Coating thickness</t>
  </si>
  <si>
    <t>(cm)</t>
  </si>
  <si>
    <t>Coating density</t>
  </si>
  <si>
    <t>(g/cm3)</t>
  </si>
  <si>
    <t>Coating cost</t>
  </si>
  <si>
    <t>Tools Cost</t>
  </si>
  <si>
    <t>Units</t>
  </si>
  <si>
    <t>Deposition Tool</t>
  </si>
  <si>
    <t>Integrity/Inspection Tool</t>
  </si>
  <si>
    <t>Mapping Tools</t>
  </si>
  <si>
    <t xml:space="preserve">CAPEX </t>
  </si>
  <si>
    <t>($)</t>
  </si>
  <si>
    <t>Assume mapping tools mounted on coating and integrity/inspection tool</t>
  </si>
  <si>
    <t xml:space="preserve">Annual return on CAPEX </t>
  </si>
  <si>
    <t>(%)</t>
  </si>
  <si>
    <t xml:space="preserve">Useful life </t>
  </si>
  <si>
    <t>(yrs)</t>
  </si>
  <si>
    <t>OPEX</t>
  </si>
  <si>
    <t>people</t>
  </si>
  <si>
    <t>$/year</t>
  </si>
  <si>
    <t xml:space="preserve">Back office support </t>
  </si>
  <si>
    <t>Annual labor costs</t>
  </si>
  <si>
    <t>T&amp;L</t>
  </si>
  <si>
    <t>$/-person-day</t>
  </si>
  <si>
    <t>$/yr</t>
  </si>
  <si>
    <t>Maintenance</t>
  </si>
  <si>
    <t>% of CAPEX</t>
  </si>
  <si>
    <t xml:space="preserve">Mobilization/demobilizaton time </t>
  </si>
  <si>
    <t>weeks</t>
  </si>
  <si>
    <t>Utilization</t>
  </si>
  <si>
    <t>% of year</t>
  </si>
  <si>
    <t>Speed</t>
  </si>
  <si>
    <t>m/hr</t>
  </si>
  <si>
    <t>Number passes/segment</t>
  </si>
  <si>
    <t>Assume 1 pass for coating, 2 passes for pre- and post coating for integrity tool, multiple passes for mapping tool</t>
  </si>
  <si>
    <t>km/yr</t>
  </si>
  <si>
    <t>Bi-directional operating range</t>
  </si>
  <si>
    <t>(m)</t>
  </si>
  <si>
    <t>Number access points per year</t>
  </si>
  <si>
    <t>Cost per access point (assumes tools can share access points)</t>
  </si>
  <si>
    <t>Assume tools share common access point</t>
  </si>
  <si>
    <t xml:space="preserve">Total annual cost </t>
  </si>
  <si>
    <t>($/yr)</t>
  </si>
  <si>
    <t xml:space="preserve">Total Annual Costs </t>
  </si>
  <si>
    <t>Hours gas service disruption</t>
  </si>
  <si>
    <t>(hr)</t>
  </si>
  <si>
    <t xml:space="preserve">Cost gas disruption </t>
  </si>
  <si>
    <t>By utility</t>
  </si>
  <si>
    <t>Number disruptions to gas serivce per segment</t>
  </si>
  <si>
    <t>Duration disruption per segment</t>
  </si>
  <si>
    <t>Cost of disruption per segment</t>
  </si>
  <si>
    <t>PRELIMINARY ECONOMIC MODEL</t>
  </si>
  <si>
    <t>INSTRUCTIONS:</t>
  </si>
  <si>
    <t>By Applicant</t>
  </si>
  <si>
    <t>On road during utilization</t>
  </si>
  <si>
    <t>Data Analyis/Overhead</t>
  </si>
  <si>
    <t>24x7 may not be required</t>
  </si>
  <si>
    <t>Crew (assume 24x7 operation)</t>
  </si>
  <si>
    <t>Fully burdended labor rate (including alocation for trucks and tools)</t>
  </si>
  <si>
    <t>Annual amortized cost recovery for tool CAPEX, including Annual return on CAPEX</t>
  </si>
  <si>
    <t>Notes by ARPA-E; Applicant may provide additional notes</t>
  </si>
  <si>
    <t>Not used in calc since utilization is low</t>
  </si>
  <si>
    <t>Distance set by slowest tool; likely integrity tool and mapping tools will be used on more pipes than deposition tool</t>
  </si>
  <si>
    <t>TSSP</t>
  </si>
  <si>
    <t>This worksheet is intended to provide guidance on the $0.5-1 Million per mile cost metric.  The input values are for example only.  This example assumes no disruption of gas service; however, be sure to account for if the proposed technology requires.   - Green cells inputs made by Applicants.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</si>
</sst>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9C0006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9C6500"/>
      <name val="Calibri"/>
      <family val="2"/>
      <scheme val="minor"/>
    </font>
    <font>
      <b/>
      <sz val="12.5"/>
      <color rgb="FF9C6500"/>
      <name val="Calibri"/>
      <family val="2"/>
      <scheme val="minor"/>
    </font>
    <font>
      <b/>
      <sz val="13"/>
      <color rgb="FF9C0006"/>
      <name val="Calibri"/>
      <family val="2"/>
      <scheme val="minor"/>
    </font>
    <font>
      <b/>
      <sz val="16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66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6" fillId="4" borderId="0" xfId="3" applyFont="1"/>
    <xf numFmtId="0" fontId="5" fillId="2" borderId="0" xfId="2" applyFont="1"/>
    <xf numFmtId="165" fontId="6" fillId="4" borderId="0" xfId="3" applyNumberFormat="1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/>
    <xf numFmtId="164" fontId="9" fillId="3" borderId="0" xfId="1" applyNumberFormat="1" applyFont="1" applyFill="1"/>
    <xf numFmtId="9" fontId="5" fillId="2" borderId="2" xfId="2" applyNumberFormat="1" applyFont="1" applyBorder="1" applyAlignment="1">
      <alignment horizontal="center"/>
    </xf>
    <xf numFmtId="0" fontId="5" fillId="2" borderId="2" xfId="2" applyFont="1" applyBorder="1" applyAlignment="1">
      <alignment horizontal="center"/>
    </xf>
    <xf numFmtId="6" fontId="6" fillId="4" borderId="2" xfId="3" applyNumberFormat="1" applyFont="1" applyBorder="1" applyAlignment="1">
      <alignment horizontal="center"/>
    </xf>
    <xf numFmtId="1" fontId="5" fillId="2" borderId="2" xfId="2" applyNumberFormat="1" applyFont="1" applyBorder="1" applyAlignment="1">
      <alignment horizontal="center"/>
    </xf>
    <xf numFmtId="1" fontId="6" fillId="4" borderId="2" xfId="3" applyNumberFormat="1" applyFont="1" applyBorder="1" applyAlignment="1">
      <alignment horizontal="center"/>
    </xf>
    <xf numFmtId="6" fontId="5" fillId="5" borderId="2" xfId="2" applyNumberFormat="1" applyFont="1" applyFill="1" applyBorder="1" applyAlignment="1">
      <alignment horizontal="center"/>
    </xf>
    <xf numFmtId="0" fontId="5" fillId="2" borderId="3" xfId="2" applyFont="1" applyBorder="1" applyAlignment="1">
      <alignment horizontal="left" vertical="center" wrapText="1"/>
    </xf>
    <xf numFmtId="0" fontId="12" fillId="4" borderId="1" xfId="3" applyFont="1" applyBorder="1" applyAlignment="1">
      <alignment vertical="center" wrapText="1"/>
    </xf>
    <xf numFmtId="0" fontId="12" fillId="4" borderId="0" xfId="3" applyFont="1" applyAlignment="1">
      <alignment vertical="center" wrapText="1"/>
    </xf>
    <xf numFmtId="0" fontId="13" fillId="4" borderId="0" xfId="3" applyFont="1" applyAlignment="1">
      <alignment vertical="center" wrapText="1"/>
    </xf>
    <xf numFmtId="164" fontId="14" fillId="3" borderId="0" xfId="1" applyNumberFormat="1" applyFont="1" applyFill="1" applyAlignment="1">
      <alignment vertical="center" wrapText="1"/>
    </xf>
    <xf numFmtId="0" fontId="12" fillId="4" borderId="1" xfId="3" applyFont="1" applyBorder="1" applyAlignment="1">
      <alignment horizontal="left" vertical="center" wrapText="1"/>
    </xf>
    <xf numFmtId="0" fontId="12" fillId="4" borderId="1" xfId="3" applyFont="1" applyBorder="1" applyAlignment="1">
      <alignment vertical="center"/>
    </xf>
    <xf numFmtId="0" fontId="12" fillId="4" borderId="4" xfId="3" applyFont="1" applyBorder="1" applyAlignment="1">
      <alignment vertical="center" wrapText="1"/>
    </xf>
    <xf numFmtId="0" fontId="3" fillId="4" borderId="15" xfId="3" applyBorder="1" applyAlignment="1">
      <alignment vertical="center" wrapText="1"/>
    </xf>
    <xf numFmtId="0" fontId="12" fillId="4" borderId="16" xfId="3" applyFont="1" applyBorder="1" applyAlignment="1">
      <alignment horizontal="center" vertical="center" wrapText="1"/>
    </xf>
    <xf numFmtId="0" fontId="12" fillId="4" borderId="17" xfId="3" applyFont="1" applyBorder="1" applyAlignment="1">
      <alignment horizontal="center" vertical="center" wrapText="1"/>
    </xf>
    <xf numFmtId="0" fontId="12" fillId="4" borderId="18" xfId="3" applyFont="1" applyBorder="1" applyAlignment="1">
      <alignment vertical="center" wrapText="1"/>
    </xf>
    <xf numFmtId="9" fontId="5" fillId="2" borderId="19" xfId="2" applyNumberFormat="1" applyFont="1" applyBorder="1" applyAlignment="1">
      <alignment horizontal="center"/>
    </xf>
    <xf numFmtId="0" fontId="15" fillId="4" borderId="21" xfId="3" applyFont="1" applyBorder="1" applyAlignment="1">
      <alignment vertical="center" wrapText="1"/>
    </xf>
    <xf numFmtId="0" fontId="12" fillId="4" borderId="24" xfId="3" applyFont="1" applyBorder="1" applyAlignment="1">
      <alignment vertical="center" wrapText="1"/>
    </xf>
    <xf numFmtId="0" fontId="5" fillId="2" borderId="19" xfId="2" applyFont="1" applyBorder="1" applyAlignment="1">
      <alignment horizontal="center"/>
    </xf>
    <xf numFmtId="0" fontId="6" fillId="4" borderId="22" xfId="3" applyFont="1" applyBorder="1" applyAlignment="1">
      <alignment horizontal="center"/>
    </xf>
    <xf numFmtId="44" fontId="5" fillId="2" borderId="2" xfId="2" applyNumberFormat="1" applyFont="1" applyBorder="1" applyAlignment="1">
      <alignment horizontal="center"/>
    </xf>
    <xf numFmtId="44" fontId="6" fillId="4" borderId="2" xfId="3" applyNumberFormat="1" applyFont="1" applyBorder="1" applyAlignment="1">
      <alignment horizontal="center"/>
    </xf>
    <xf numFmtId="44" fontId="5" fillId="2" borderId="22" xfId="2" applyNumberFormat="1" applyFont="1" applyBorder="1" applyAlignment="1">
      <alignment horizontal="center"/>
    </xf>
    <xf numFmtId="44" fontId="5" fillId="2" borderId="22" xfId="2" applyNumberFormat="1" applyFont="1" applyBorder="1" applyAlignment="1"/>
    <xf numFmtId="44" fontId="6" fillId="4" borderId="25" xfId="3" applyNumberFormat="1" applyFont="1" applyBorder="1" applyAlignment="1">
      <alignment horizontal="center"/>
    </xf>
    <xf numFmtId="44" fontId="2" fillId="5" borderId="5" xfId="2" applyNumberFormat="1" applyFill="1" applyBorder="1" applyAlignment="1">
      <alignment horizontal="center"/>
    </xf>
    <xf numFmtId="0" fontId="5" fillId="2" borderId="2" xfId="2" applyNumberFormat="1" applyFont="1" applyBorder="1" applyAlignment="1">
      <alignment horizontal="center"/>
    </xf>
    <xf numFmtId="0" fontId="5" fillId="5" borderId="3" xfId="2" applyFont="1" applyFill="1" applyBorder="1" applyAlignment="1">
      <alignment horizontal="center" vertical="center" wrapText="1"/>
    </xf>
    <xf numFmtId="0" fontId="6" fillId="4" borderId="3" xfId="3" applyFont="1" applyBorder="1" applyAlignment="1">
      <alignment horizontal="center" vertical="center" wrapText="1"/>
    </xf>
    <xf numFmtId="0" fontId="5" fillId="2" borderId="3" xfId="2" applyFont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5" fillId="2" borderId="23" xfId="2" applyFont="1" applyBorder="1" applyAlignment="1">
      <alignment horizontal="center" vertical="center" wrapText="1"/>
    </xf>
    <xf numFmtId="0" fontId="5" fillId="2" borderId="20" xfId="2" applyFont="1" applyBorder="1" applyAlignment="1">
      <alignment horizontal="center" vertical="center" wrapText="1"/>
    </xf>
    <xf numFmtId="0" fontId="6" fillId="4" borderId="23" xfId="3" applyFont="1" applyBorder="1" applyAlignment="1">
      <alignment horizontal="center" vertical="center" wrapText="1"/>
    </xf>
    <xf numFmtId="0" fontId="16" fillId="4" borderId="22" xfId="3" applyFont="1" applyBorder="1" applyAlignment="1">
      <alignment horizontal="center" vertical="center"/>
    </xf>
    <xf numFmtId="0" fontId="16" fillId="4" borderId="19" xfId="3" applyFont="1" applyBorder="1" applyAlignment="1">
      <alignment horizontal="center" vertical="center"/>
    </xf>
    <xf numFmtId="0" fontId="16" fillId="4" borderId="2" xfId="3" applyFont="1" applyBorder="1" applyAlignment="1">
      <alignment horizontal="center" vertical="center"/>
    </xf>
    <xf numFmtId="0" fontId="16" fillId="4" borderId="25" xfId="3" applyFont="1" applyBorder="1" applyAlignment="1">
      <alignment horizontal="center" vertical="center"/>
    </xf>
    <xf numFmtId="0" fontId="16" fillId="4" borderId="5" xfId="3" applyFont="1" applyBorder="1" applyAlignment="1">
      <alignment horizontal="center" vertical="center"/>
    </xf>
    <xf numFmtId="0" fontId="2" fillId="2" borderId="3" xfId="2" applyBorder="1" applyAlignment="1">
      <alignment horizontal="center" vertical="center" wrapText="1"/>
    </xf>
    <xf numFmtId="0" fontId="2" fillId="2" borderId="26" xfId="2" applyBorder="1" applyAlignment="1">
      <alignment horizontal="center" vertical="center" wrapText="1"/>
    </xf>
    <xf numFmtId="0" fontId="5" fillId="2" borderId="3" xfId="2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90" zoomScaleNormal="90" zoomScaleSheetLayoutView="100" workbookViewId="0">
      <selection activeCell="O26" sqref="O26"/>
    </sheetView>
  </sheetViews>
  <sheetFormatPr defaultColWidth="8.85546875" defaultRowHeight="15" x14ac:dyDescent="0.25"/>
  <cols>
    <col min="1" max="1" width="40" style="5" customWidth="1"/>
    <col min="2" max="2" width="15.7109375" style="1" bestFit="1" customWidth="1"/>
    <col min="3" max="3" width="18" style="1" customWidth="1"/>
    <col min="4" max="4" width="24.7109375" style="1" customWidth="1"/>
    <col min="5" max="5" width="23.140625" style="1" customWidth="1"/>
    <col min="6" max="6" width="43.42578125" style="2" customWidth="1"/>
    <col min="7" max="14" width="8.85546875" style="1"/>
    <col min="15" max="15" width="14" style="1" customWidth="1"/>
    <col min="16" max="16384" width="8.85546875" style="1"/>
  </cols>
  <sheetData>
    <row r="1" spans="1:15" ht="28.9" customHeight="1" thickBot="1" x14ac:dyDescent="0.35">
      <c r="A1" s="57" t="s">
        <v>60</v>
      </c>
      <c r="B1" s="57"/>
      <c r="C1" s="57"/>
    </row>
    <row r="2" spans="1:15" ht="17.25" customHeight="1" x14ac:dyDescent="0.3">
      <c r="A2" s="9" t="s">
        <v>0</v>
      </c>
      <c r="B2" s="10"/>
      <c r="C2" s="10"/>
      <c r="E2" s="65" t="s">
        <v>61</v>
      </c>
      <c r="F2" s="59" t="s">
        <v>73</v>
      </c>
      <c r="G2" s="59"/>
      <c r="H2" s="59"/>
      <c r="I2" s="59"/>
      <c r="J2" s="59"/>
      <c r="K2" s="59"/>
      <c r="L2" s="59"/>
      <c r="M2" s="59"/>
      <c r="N2" s="59"/>
      <c r="O2" s="60"/>
    </row>
    <row r="3" spans="1:15" ht="17.25" customHeight="1" x14ac:dyDescent="0.3">
      <c r="A3" s="22" t="s">
        <v>1</v>
      </c>
      <c r="B3" s="11" t="s">
        <v>2</v>
      </c>
      <c r="C3" s="11">
        <f>C10+C38+D38+E38</f>
        <v>448983.65794600069</v>
      </c>
      <c r="E3" s="66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ht="18" customHeight="1" x14ac:dyDescent="0.3">
      <c r="A4" s="22" t="s">
        <v>1</v>
      </c>
      <c r="B4" s="11" t="s">
        <v>3</v>
      </c>
      <c r="C4" s="11">
        <f>C3/0.621</f>
        <v>723001.05949436501</v>
      </c>
      <c r="E4" s="66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ht="18" thickBot="1" x14ac:dyDescent="0.35">
      <c r="A5" s="58" t="s">
        <v>4</v>
      </c>
      <c r="B5" s="58"/>
      <c r="C5" s="58"/>
      <c r="E5" s="67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ht="17.25" x14ac:dyDescent="0.3">
      <c r="A6" s="20" t="s">
        <v>5</v>
      </c>
      <c r="B6" s="6" t="s">
        <v>6</v>
      </c>
      <c r="C6" s="7">
        <v>20</v>
      </c>
    </row>
    <row r="7" spans="1:15" ht="17.25" x14ac:dyDescent="0.3">
      <c r="A7" s="20" t="s">
        <v>7</v>
      </c>
      <c r="B7" s="6" t="s">
        <v>8</v>
      </c>
      <c r="C7" s="7">
        <v>12</v>
      </c>
    </row>
    <row r="8" spans="1:15" ht="17.25" x14ac:dyDescent="0.3">
      <c r="A8" s="21" t="s">
        <v>9</v>
      </c>
      <c r="B8" s="6" t="s">
        <v>10</v>
      </c>
      <c r="C8" s="7">
        <v>0.75</v>
      </c>
    </row>
    <row r="9" spans="1:15" ht="17.25" x14ac:dyDescent="0.3">
      <c r="A9" s="20" t="s">
        <v>11</v>
      </c>
      <c r="B9" s="6" t="s">
        <v>12</v>
      </c>
      <c r="C9" s="7">
        <v>2</v>
      </c>
    </row>
    <row r="10" spans="1:15" ht="17.25" x14ac:dyDescent="0.3">
      <c r="A10" s="20" t="s">
        <v>13</v>
      </c>
      <c r="B10" s="6" t="s">
        <v>2</v>
      </c>
      <c r="C10" s="8">
        <f>3.14*C7*2.54*C8*C9*C6*100</f>
        <v>287121.59999999998</v>
      </c>
    </row>
    <row r="11" spans="1:15" ht="18" thickBot="1" x14ac:dyDescent="0.3">
      <c r="A11" s="9" t="s">
        <v>14</v>
      </c>
    </row>
    <row r="12" spans="1:15" s="2" customFormat="1" ht="35.25" thickBot="1" x14ac:dyDescent="0.3">
      <c r="A12" s="26"/>
      <c r="B12" s="27" t="s">
        <v>15</v>
      </c>
      <c r="C12" s="27" t="s">
        <v>16</v>
      </c>
      <c r="D12" s="27" t="s">
        <v>17</v>
      </c>
      <c r="E12" s="27" t="s">
        <v>18</v>
      </c>
      <c r="F12" s="28" t="s">
        <v>69</v>
      </c>
    </row>
    <row r="13" spans="1:15" ht="35.25" thickBot="1" x14ac:dyDescent="0.35">
      <c r="A13" s="31" t="s">
        <v>19</v>
      </c>
      <c r="B13" s="49" t="s">
        <v>20</v>
      </c>
      <c r="C13" s="37">
        <v>1500000</v>
      </c>
      <c r="D13" s="37">
        <v>1000000</v>
      </c>
      <c r="E13" s="38">
        <v>250000</v>
      </c>
      <c r="F13" s="46" t="s">
        <v>21</v>
      </c>
    </row>
    <row r="14" spans="1:15" ht="17.25" x14ac:dyDescent="0.3">
      <c r="A14" s="29" t="s">
        <v>22</v>
      </c>
      <c r="B14" s="50" t="s">
        <v>23</v>
      </c>
      <c r="C14" s="30">
        <v>0.2</v>
      </c>
      <c r="D14" s="30">
        <v>0.2</v>
      </c>
      <c r="E14" s="30">
        <v>0.2</v>
      </c>
      <c r="F14" s="47"/>
    </row>
    <row r="15" spans="1:15" ht="17.25" x14ac:dyDescent="0.3">
      <c r="A15" s="19" t="s">
        <v>24</v>
      </c>
      <c r="B15" s="51" t="s">
        <v>25</v>
      </c>
      <c r="C15" s="13">
        <v>5</v>
      </c>
      <c r="D15" s="13">
        <v>5</v>
      </c>
      <c r="E15" s="13">
        <v>5</v>
      </c>
      <c r="F15" s="44"/>
    </row>
    <row r="16" spans="1:15" ht="52.5" thickBot="1" x14ac:dyDescent="0.35">
      <c r="A16" s="32" t="s">
        <v>68</v>
      </c>
      <c r="B16" s="52" t="s">
        <v>20</v>
      </c>
      <c r="C16" s="39">
        <f>-PMT(C14,C15,C13)</f>
        <v>501569.55493442272</v>
      </c>
      <c r="D16" s="39">
        <f>-PMT(D14,D15,D13)</f>
        <v>334379.70328961516</v>
      </c>
      <c r="E16" s="39">
        <f>-PMT(E14,E15,E13)</f>
        <v>83594.925822403791</v>
      </c>
      <c r="F16" s="55"/>
    </row>
    <row r="17" spans="1:7" ht="21.75" thickBot="1" x14ac:dyDescent="0.35">
      <c r="A17" s="31" t="s">
        <v>26</v>
      </c>
      <c r="B17" s="49"/>
      <c r="C17" s="34"/>
      <c r="D17" s="34"/>
      <c r="E17" s="34"/>
      <c r="F17" s="48"/>
    </row>
    <row r="18" spans="1:7" ht="17.25" x14ac:dyDescent="0.3">
      <c r="A18" s="29" t="s">
        <v>66</v>
      </c>
      <c r="B18" s="50" t="s">
        <v>27</v>
      </c>
      <c r="C18" s="33">
        <v>7</v>
      </c>
      <c r="D18" s="33">
        <v>7</v>
      </c>
      <c r="E18" s="33">
        <v>7</v>
      </c>
      <c r="F18" s="47" t="s">
        <v>65</v>
      </c>
    </row>
    <row r="19" spans="1:7" ht="34.5" x14ac:dyDescent="0.3">
      <c r="A19" s="19" t="s">
        <v>67</v>
      </c>
      <c r="B19" s="51" t="s">
        <v>28</v>
      </c>
      <c r="C19" s="35">
        <v>125000</v>
      </c>
      <c r="D19" s="35">
        <v>125000</v>
      </c>
      <c r="E19" s="35">
        <v>125000</v>
      </c>
      <c r="F19" s="44"/>
    </row>
    <row r="20" spans="1:7" ht="17.25" x14ac:dyDescent="0.3">
      <c r="A20" s="23" t="s">
        <v>29</v>
      </c>
      <c r="B20" s="51" t="s">
        <v>28</v>
      </c>
      <c r="C20" s="35">
        <v>250000</v>
      </c>
      <c r="D20" s="35">
        <v>250000</v>
      </c>
      <c r="E20" s="35">
        <v>250000</v>
      </c>
      <c r="F20" s="44" t="s">
        <v>64</v>
      </c>
    </row>
    <row r="21" spans="1:7" ht="17.25" x14ac:dyDescent="0.3">
      <c r="A21" s="19" t="s">
        <v>30</v>
      </c>
      <c r="B21" s="51"/>
      <c r="C21" s="36">
        <f>C19*C18+C20</f>
        <v>1125000</v>
      </c>
      <c r="D21" s="36">
        <f t="shared" ref="D21:E21" si="0">D19*D18+D20</f>
        <v>1125000</v>
      </c>
      <c r="E21" s="36">
        <f t="shared" si="0"/>
        <v>1125000</v>
      </c>
      <c r="F21" s="54"/>
      <c r="G21" s="3"/>
    </row>
    <row r="22" spans="1:7" ht="17.25" x14ac:dyDescent="0.3">
      <c r="A22" s="19" t="s">
        <v>31</v>
      </c>
      <c r="B22" s="51" t="s">
        <v>32</v>
      </c>
      <c r="C22" s="35">
        <v>200</v>
      </c>
      <c r="D22" s="35">
        <v>200</v>
      </c>
      <c r="E22" s="35">
        <v>200</v>
      </c>
      <c r="F22" s="44"/>
      <c r="G22" s="3"/>
    </row>
    <row r="23" spans="1:7" ht="17.25" x14ac:dyDescent="0.3">
      <c r="A23" s="19" t="s">
        <v>31</v>
      </c>
      <c r="B23" s="51" t="s">
        <v>33</v>
      </c>
      <c r="C23" s="36">
        <f>C22*365*C18*$C$26</f>
        <v>204400</v>
      </c>
      <c r="D23" s="36">
        <f t="shared" ref="D23:E23" si="1">D22*365*D18*$C$26</f>
        <v>204400</v>
      </c>
      <c r="E23" s="36">
        <f t="shared" si="1"/>
        <v>204400</v>
      </c>
      <c r="F23" s="56" t="s">
        <v>63</v>
      </c>
      <c r="G23" s="3"/>
    </row>
    <row r="24" spans="1:7" ht="17.25" x14ac:dyDescent="0.3">
      <c r="A24" s="19" t="s">
        <v>34</v>
      </c>
      <c r="B24" s="51" t="s">
        <v>35</v>
      </c>
      <c r="C24" s="12">
        <v>0.06</v>
      </c>
      <c r="D24" s="12">
        <v>0.06</v>
      </c>
      <c r="E24" s="12">
        <v>0.06</v>
      </c>
      <c r="F24" s="44"/>
    </row>
    <row r="25" spans="1:7" ht="17.25" x14ac:dyDescent="0.3">
      <c r="A25" s="19" t="s">
        <v>36</v>
      </c>
      <c r="B25" s="51" t="s">
        <v>37</v>
      </c>
      <c r="C25" s="15">
        <v>2</v>
      </c>
      <c r="D25" s="15">
        <v>1</v>
      </c>
      <c r="E25" s="15">
        <v>1</v>
      </c>
      <c r="F25" s="44" t="s">
        <v>70</v>
      </c>
    </row>
    <row r="26" spans="1:7" ht="17.25" x14ac:dyDescent="0.3">
      <c r="A26" s="19" t="s">
        <v>38</v>
      </c>
      <c r="B26" s="51" t="s">
        <v>39</v>
      </c>
      <c r="C26" s="12">
        <v>0.4</v>
      </c>
      <c r="D26" s="12">
        <v>0.4</v>
      </c>
      <c r="E26" s="12">
        <v>0.4</v>
      </c>
      <c r="F26" s="44"/>
    </row>
    <row r="27" spans="1:7" ht="17.25" x14ac:dyDescent="0.3">
      <c r="A27" s="19" t="s">
        <v>40</v>
      </c>
      <c r="B27" s="51" t="s">
        <v>41</v>
      </c>
      <c r="C27" s="13">
        <v>20</v>
      </c>
      <c r="D27" s="13">
        <v>50</v>
      </c>
      <c r="E27" s="13">
        <v>50</v>
      </c>
      <c r="F27" s="44"/>
    </row>
    <row r="28" spans="1:7" ht="51.75" x14ac:dyDescent="0.3">
      <c r="A28" s="19" t="s">
        <v>42</v>
      </c>
      <c r="B28" s="51"/>
      <c r="C28" s="13">
        <v>1</v>
      </c>
      <c r="D28" s="13">
        <v>2</v>
      </c>
      <c r="E28" s="13">
        <v>3</v>
      </c>
      <c r="F28" s="44" t="s">
        <v>43</v>
      </c>
    </row>
    <row r="29" spans="1:7" ht="51.75" x14ac:dyDescent="0.3">
      <c r="A29" s="19" t="s">
        <v>44</v>
      </c>
      <c r="B29" s="51"/>
      <c r="C29" s="16">
        <f>MIN(24*365*C26*C27/1000/C28,24*365*D26*D27/1000/D28,24*365*E26*E27/1000/E28)</f>
        <v>58.4</v>
      </c>
      <c r="D29" s="16">
        <f>C29</f>
        <v>58.4</v>
      </c>
      <c r="E29" s="16">
        <f>C29</f>
        <v>58.4</v>
      </c>
      <c r="F29" s="56" t="s">
        <v>71</v>
      </c>
    </row>
    <row r="30" spans="1:7" ht="17.25" x14ac:dyDescent="0.3">
      <c r="A30" s="19" t="s">
        <v>45</v>
      </c>
      <c r="B30" s="51" t="s">
        <v>46</v>
      </c>
      <c r="C30" s="15">
        <v>1000</v>
      </c>
      <c r="D30" s="15">
        <v>1000</v>
      </c>
      <c r="E30" s="15">
        <v>1000</v>
      </c>
      <c r="F30" s="44"/>
    </row>
    <row r="31" spans="1:7" ht="17.25" x14ac:dyDescent="0.3">
      <c r="A31" s="19" t="s">
        <v>47</v>
      </c>
      <c r="B31" s="51"/>
      <c r="C31" s="16">
        <f>C29*1000/C30</f>
        <v>58.4</v>
      </c>
      <c r="D31" s="16">
        <f>D29*1000/D30</f>
        <v>58.4</v>
      </c>
      <c r="E31" s="16">
        <f>E29*1000/E30</f>
        <v>58.4</v>
      </c>
      <c r="F31" s="54"/>
    </row>
    <row r="32" spans="1:7" ht="34.5" x14ac:dyDescent="0.3">
      <c r="A32" s="23" t="s">
        <v>48</v>
      </c>
      <c r="B32" s="51" t="s">
        <v>20</v>
      </c>
      <c r="C32" s="35">
        <v>75000</v>
      </c>
      <c r="D32" s="35">
        <v>0</v>
      </c>
      <c r="E32" s="35">
        <v>0</v>
      </c>
      <c r="F32" s="44" t="s">
        <v>49</v>
      </c>
    </row>
    <row r="33" spans="1:6" ht="34.5" x14ac:dyDescent="0.3">
      <c r="A33" s="23" t="s">
        <v>57</v>
      </c>
      <c r="B33" s="51"/>
      <c r="C33" s="41"/>
      <c r="D33" s="41"/>
      <c r="E33" s="41"/>
      <c r="F33" s="44"/>
    </row>
    <row r="34" spans="1:6" ht="17.25" x14ac:dyDescent="0.3">
      <c r="A34" s="23" t="s">
        <v>58</v>
      </c>
      <c r="B34" s="51" t="s">
        <v>54</v>
      </c>
      <c r="C34" s="41"/>
      <c r="D34" s="41"/>
      <c r="E34" s="41"/>
      <c r="F34" s="18"/>
    </row>
    <row r="35" spans="1:6" ht="17.25" x14ac:dyDescent="0.3">
      <c r="A35" s="23" t="s">
        <v>59</v>
      </c>
      <c r="B35" s="51" t="s">
        <v>20</v>
      </c>
      <c r="C35" s="17"/>
      <c r="D35" s="17"/>
      <c r="E35" s="17"/>
      <c r="F35" s="42" t="s">
        <v>72</v>
      </c>
    </row>
    <row r="36" spans="1:6" ht="17.25" x14ac:dyDescent="0.3">
      <c r="A36" s="24"/>
      <c r="B36" s="51"/>
      <c r="C36" s="14"/>
      <c r="D36" s="14"/>
      <c r="E36" s="14"/>
      <c r="F36" s="43"/>
    </row>
    <row r="37" spans="1:6" ht="17.25" x14ac:dyDescent="0.3">
      <c r="A37" s="19" t="s">
        <v>50</v>
      </c>
      <c r="B37" s="51" t="s">
        <v>51</v>
      </c>
      <c r="C37" s="36">
        <f>C16+C21+C23+C24*C13+C31*C32</f>
        <v>6300969.5549344225</v>
      </c>
      <c r="D37" s="36">
        <f>D16+D21+D23+D24*D13+D31*D32</f>
        <v>1723779.7032896152</v>
      </c>
      <c r="E37" s="36">
        <f>E16+E21+E23+E24*E13+E31*E32</f>
        <v>1427994.9258224037</v>
      </c>
      <c r="F37" s="54"/>
    </row>
    <row r="38" spans="1:6" ht="17.25" x14ac:dyDescent="0.3">
      <c r="A38" s="19" t="s">
        <v>52</v>
      </c>
      <c r="B38" s="51" t="s">
        <v>2</v>
      </c>
      <c r="C38" s="36">
        <f>C37/$C$29</f>
        <v>107893.31429682231</v>
      </c>
      <c r="D38" s="36">
        <f t="shared" ref="D38:E38" si="2">D37/$C$29</f>
        <v>29516.775741260535</v>
      </c>
      <c r="E38" s="36">
        <f t="shared" si="2"/>
        <v>24451.967907917871</v>
      </c>
      <c r="F38" s="43"/>
    </row>
    <row r="39" spans="1:6" ht="17.25" x14ac:dyDescent="0.3">
      <c r="A39" s="19"/>
      <c r="B39" s="51"/>
      <c r="C39" s="14"/>
      <c r="D39" s="14"/>
      <c r="E39" s="14"/>
      <c r="F39" s="43"/>
    </row>
    <row r="40" spans="1:6" ht="17.25" x14ac:dyDescent="0.3">
      <c r="A40" s="19" t="s">
        <v>53</v>
      </c>
      <c r="B40" s="51" t="s">
        <v>54</v>
      </c>
      <c r="C40" s="13">
        <v>0</v>
      </c>
      <c r="D40" s="13">
        <v>0</v>
      </c>
      <c r="E40" s="13">
        <v>0</v>
      </c>
      <c r="F40" s="44" t="s">
        <v>62</v>
      </c>
    </row>
    <row r="41" spans="1:6" ht="18" thickBot="1" x14ac:dyDescent="0.3">
      <c r="A41" s="25" t="s">
        <v>55</v>
      </c>
      <c r="B41" s="53" t="s">
        <v>51</v>
      </c>
      <c r="C41" s="40"/>
      <c r="D41" s="40"/>
      <c r="E41" s="40"/>
      <c r="F41" s="45" t="s">
        <v>56</v>
      </c>
    </row>
    <row r="42" spans="1:6" x14ac:dyDescent="0.25">
      <c r="A42" s="4"/>
    </row>
    <row r="43" spans="1:6" x14ac:dyDescent="0.25">
      <c r="A43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</sheetData>
  <sheetProtection password="EFCE" sheet="1" objects="1" scenarios="1"/>
  <protectedRanges>
    <protectedRange sqref="C6:C9 C13:F15 F16 C18:F20 F21 C22:F22 F23 C24:F28 F29 C30:F30 F31 C32:F34 F37 C40:F40" name="Applicants"/>
  </protectedRanges>
  <mergeCells count="4">
    <mergeCell ref="A1:C1"/>
    <mergeCell ref="A5:C5"/>
    <mergeCell ref="F2:O5"/>
    <mergeCell ref="E2:E5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Energy</dc:creator>
  <cp:lastModifiedBy>Valued DOE Employee</cp:lastModifiedBy>
  <dcterms:created xsi:type="dcterms:W3CDTF">2019-12-17T07:49:29Z</dcterms:created>
  <dcterms:modified xsi:type="dcterms:W3CDTF">2020-02-10T21:27:36Z</dcterms:modified>
</cp:coreProperties>
</file>